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riusomaha.sharepoint.com/sites/SiriusNutrition/Shared Documents/Tools/"/>
    </mc:Choice>
  </mc:AlternateContent>
  <xr:revisionPtr revIDLastSave="26" documentId="8_{D5B7631A-FE6C-4C40-9653-E9EF80AF5078}" xr6:coauthVersionLast="47" xr6:coauthVersionMax="47" xr10:uidLastSave="{23162A6A-D31D-4413-A041-71C16D120AF9}"/>
  <bookViews>
    <workbookView xWindow="-93" yWindow="-93" windowWidth="25786" windowHeight="13866" xr2:uid="{00000000-000D-0000-FFFF-FFFF00000000}"/>
  </bookViews>
  <sheets>
    <sheet name="Footbath Protocol" sheetId="3" r:id="rId1"/>
    <sheet name="Copper Side By Side" sheetId="4" r:id="rId2"/>
  </sheets>
  <definedNames>
    <definedName name="ColumnTitle1">#REF!</definedName>
    <definedName name="ColumnTitleRegion1..B11.1">#REF!</definedName>
    <definedName name="RowTitleRegion1..D4">#REF!</definedName>
    <definedName name="RowTitleRegion2..D7">#REF!</definedName>
    <definedName name="RowTitleRegion3..C1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2" i="3" l="1"/>
  <c r="D62" i="3" s="1"/>
  <c r="C68" i="3"/>
  <c r="G43" i="3"/>
  <c r="C50" i="3" l="1"/>
  <c r="E14" i="3"/>
  <c r="E43" i="3" l="1"/>
  <c r="D43" i="3" s="1"/>
  <c r="H43" i="3" s="1"/>
  <c r="I43" i="3" s="1"/>
  <c r="D22" i="3"/>
  <c r="K14" i="3"/>
  <c r="E62" i="3" s="1"/>
  <c r="D47" i="3" l="1"/>
  <c r="G47" i="3"/>
  <c r="D50" i="3" s="1"/>
  <c r="K43" i="3"/>
  <c r="H28" i="3"/>
  <c r="C34" i="3"/>
  <c r="E34" i="3" s="1"/>
  <c r="I14" i="3"/>
  <c r="G28" i="3" s="1"/>
  <c r="H47" i="3" l="1"/>
  <c r="K47" i="3" s="1"/>
  <c r="H62" i="3"/>
  <c r="J43" i="3"/>
  <c r="J28" i="3"/>
  <c r="K28" i="3" s="1"/>
  <c r="L28" i="3" s="1"/>
  <c r="J14" i="3"/>
  <c r="I47" i="3" l="1"/>
  <c r="J47" i="3" s="1"/>
  <c r="D65" i="3"/>
  <c r="G50" i="3"/>
  <c r="E50" i="3"/>
  <c r="E65" i="3"/>
  <c r="F65" i="3" s="1"/>
  <c r="G65" i="3" s="1"/>
  <c r="H65" i="3"/>
  <c r="I65" i="3" s="1"/>
  <c r="I28" i="3"/>
  <c r="F62" i="3" s="1"/>
  <c r="G62" i="3" s="1"/>
  <c r="F50" i="3" l="1"/>
  <c r="M28" i="3"/>
</calcChain>
</file>

<file path=xl/sharedStrings.xml><?xml version="1.0" encoding="utf-8"?>
<sst xmlns="http://schemas.openxmlformats.org/spreadsheetml/2006/main" count="84" uniqueCount="66">
  <si>
    <t>Depth (in)</t>
  </si>
  <si>
    <t>Gallons</t>
  </si>
  <si>
    <t>Lbs</t>
  </si>
  <si>
    <t>Liters</t>
  </si>
  <si>
    <t>Width (in)</t>
  </si>
  <si>
    <t>Length (in)</t>
  </si>
  <si>
    <t>*  Five (5) percent recommended solution strength with acceptable hoof health.</t>
  </si>
  <si>
    <t>Solution (%)*</t>
  </si>
  <si>
    <t>Herd Size</t>
  </si>
  <si>
    <t>$$/footbath</t>
  </si>
  <si>
    <t>$$/cow/year</t>
  </si>
  <si>
    <t>Cows per bath*</t>
  </si>
  <si>
    <t>**  (If baths are used 2 milkings/day x 3 days/week</t>
  </si>
  <si>
    <t xml:space="preserve">      that would equal 6 treatments/week)</t>
  </si>
  <si>
    <t>Cost ($$/gallon)*</t>
  </si>
  <si>
    <t>Price/cow/day</t>
  </si>
  <si>
    <t>Gallons/Month</t>
  </si>
  <si>
    <t>Lbs/Month</t>
  </si>
  <si>
    <t>Lbs/Year</t>
  </si>
  <si>
    <t>Totes/Year</t>
  </si>
  <si>
    <t>Gal/Year</t>
  </si>
  <si>
    <t xml:space="preserve"> </t>
  </si>
  <si>
    <t>Price/Bag</t>
  </si>
  <si>
    <t>Price/bath</t>
  </si>
  <si>
    <t>Price/Month</t>
  </si>
  <si>
    <t>Price/Year</t>
  </si>
  <si>
    <t>COPPER</t>
  </si>
  <si>
    <t>HOOF ZINK</t>
  </si>
  <si>
    <t>Price/lb</t>
  </si>
  <si>
    <t>SAVINGS:</t>
  </si>
  <si>
    <t>D. Hoof Zink Protocol and Usage</t>
  </si>
  <si>
    <t>Price/Cow/Day</t>
  </si>
  <si>
    <t># Bags of Copper/Bath</t>
  </si>
  <si>
    <t>%Copper</t>
  </si>
  <si>
    <t>HZ Price/Year</t>
  </si>
  <si>
    <t>Hoof Count Footbath</t>
  </si>
  <si>
    <t>Monthly Lease</t>
  </si>
  <si>
    <t>Lease/Cow/Month</t>
  </si>
  <si>
    <t>Month Lease</t>
  </si>
  <si>
    <t>Spend/Term</t>
  </si>
  <si>
    <r>
      <t xml:space="preserve">E. Copper Protocol and Usage - </t>
    </r>
    <r>
      <rPr>
        <b/>
        <i/>
        <u/>
        <sz val="18"/>
        <color rgb="FF92D050"/>
        <rFont val="Arial"/>
        <family val="2"/>
      </rPr>
      <t>NEW</t>
    </r>
    <r>
      <rPr>
        <b/>
        <u/>
        <sz val="18"/>
        <color rgb="FF92D050"/>
        <rFont val="Arial"/>
        <family val="2"/>
      </rPr>
      <t>!</t>
    </r>
  </si>
  <si>
    <r>
      <t xml:space="preserve">A.  </t>
    </r>
    <r>
      <rPr>
        <b/>
        <u/>
        <sz val="18"/>
        <rFont val="Arial"/>
        <family val="2"/>
      </rPr>
      <t>Volume of Footbath</t>
    </r>
  </si>
  <si>
    <r>
      <t xml:space="preserve">C.  </t>
    </r>
    <r>
      <rPr>
        <b/>
        <u/>
        <sz val="18"/>
        <color theme="1"/>
        <rFont val="Arial"/>
        <family val="2"/>
      </rPr>
      <t>Cow Passes per Footbath</t>
    </r>
    <r>
      <rPr>
        <b/>
        <sz val="18"/>
        <color theme="1"/>
        <rFont val="Arial"/>
        <family val="2"/>
      </rPr>
      <t xml:space="preserve"> </t>
    </r>
  </si>
  <si>
    <t>Total Footbath Investment</t>
  </si>
  <si>
    <t>Cost for Money %</t>
  </si>
  <si>
    <t>Payment</t>
  </si>
  <si>
    <t>Cows Treated</t>
  </si>
  <si>
    <t>2 - Common manure completely coating hoof to dew claw</t>
  </si>
  <si>
    <t xml:space="preserve">1 -Common manure up to dew claws, but visible hair,  </t>
  </si>
  <si>
    <t>Cows/bath</t>
  </si>
  <si>
    <t xml:space="preserve">    </t>
  </si>
  <si>
    <t>Cleanliness *</t>
  </si>
  <si>
    <r>
      <t xml:space="preserve">F.  </t>
    </r>
    <r>
      <rPr>
        <b/>
        <u/>
        <sz val="18"/>
        <rFont val="Arial"/>
        <family val="2"/>
      </rPr>
      <t xml:space="preserve">Hoof Zink vs Copper Sulfate </t>
    </r>
  </si>
  <si>
    <r>
      <t xml:space="preserve">E.  </t>
    </r>
    <r>
      <rPr>
        <b/>
        <u/>
        <sz val="18"/>
        <rFont val="Arial"/>
        <family val="2"/>
      </rPr>
      <t>Hoof Count Automation</t>
    </r>
  </si>
  <si>
    <t xml:space="preserve"> Price/Lb</t>
  </si>
  <si>
    <t>Lbs Bath</t>
  </si>
  <si>
    <t>Lbs /Bath</t>
  </si>
  <si>
    <r>
      <t xml:space="preserve">B. </t>
    </r>
    <r>
      <rPr>
        <b/>
        <u/>
        <sz val="18"/>
        <rFont val="Arial"/>
        <family val="2"/>
      </rPr>
      <t xml:space="preserve"> Hoof-Zink Usage/Footbath</t>
    </r>
  </si>
  <si>
    <t>Price/Term</t>
  </si>
  <si>
    <t>Weekly Treatments</t>
  </si>
  <si>
    <t>Farm Price</t>
  </si>
  <si>
    <t>Tankers</t>
  </si>
  <si>
    <t>Price/Cow/Month</t>
  </si>
  <si>
    <t>Total Cost</t>
  </si>
  <si>
    <t>Truckloads</t>
  </si>
  <si>
    <t>OFFICAL USE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</si>
</sst>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(&quot;$&quot;* #,##0.00_);_(&quot;$&quot;* \(#,##0.00\);_(&quot;$&quot;* &quot;-&quot;??_);_(@_)"/>
    <numFmt numFmtId="164" formatCode="0.0"/>
    <numFmt numFmtId="165" formatCode="&quot;$&quot;#,##0.00"/>
    <numFmt numFmtId="166" formatCode="#,##0.0"/>
    <numFmt numFmtId="167" formatCode="&quot;$&quot;#,##0.00000"/>
    <numFmt numFmtId="168" formatCode="&quot;$&quot;#,##0.000"/>
    <numFmt numFmtId="169" formatCode="[$-409]mmmm\ d\,\ yyyy;@"/>
    <numFmt numFmtId="170" formatCode="[&lt;=9999999]###\-####;\(###\)\ ###\-####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name val="Calibri"/>
      <family val="2"/>
      <scheme val="minor"/>
    </font>
    <font>
      <sz val="28"/>
      <color theme="0" tint="-0.499984740745262"/>
      <name val="Cambria"/>
      <family val="2"/>
      <scheme val="maj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i/>
      <u/>
      <sz val="14"/>
      <color indexed="17"/>
      <name val="Arial"/>
      <family val="2"/>
    </font>
    <font>
      <i/>
      <sz val="14"/>
      <name val="Arial"/>
      <family val="2"/>
    </font>
    <font>
      <b/>
      <sz val="14"/>
      <color indexed="9"/>
      <name val="Arial"/>
      <family val="2"/>
    </font>
    <font>
      <sz val="14"/>
      <color theme="0"/>
      <name val="Arial"/>
      <family val="2"/>
    </font>
    <font>
      <b/>
      <u/>
      <sz val="18"/>
      <name val="Arial"/>
      <family val="2"/>
    </font>
    <font>
      <b/>
      <i/>
      <u/>
      <sz val="18"/>
      <color rgb="FF92D050"/>
      <name val="Arial"/>
      <family val="2"/>
    </font>
    <font>
      <b/>
      <u/>
      <sz val="18"/>
      <color rgb="FF92D050"/>
      <name val="Arial"/>
      <family val="2"/>
    </font>
    <font>
      <b/>
      <sz val="18"/>
      <name val="Arial"/>
      <family val="2"/>
    </font>
    <font>
      <b/>
      <sz val="18"/>
      <color theme="1"/>
      <name val="Arial"/>
      <family val="2"/>
    </font>
    <font>
      <b/>
      <u/>
      <sz val="18"/>
      <color theme="1"/>
      <name val="Arial"/>
      <family val="2"/>
    </font>
    <font>
      <b/>
      <sz val="26"/>
      <color theme="1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5">
    <xf numFmtId="0" fontId="0" fillId="0" borderId="0"/>
    <xf numFmtId="0" fontId="1" fillId="0" borderId="0"/>
    <xf numFmtId="169" fontId="11" fillId="0" borderId="0" applyFont="0" applyFill="0" applyBorder="0" applyAlignment="0" applyProtection="0">
      <alignment horizontal="left"/>
    </xf>
    <xf numFmtId="170" fontId="11" fillId="0" borderId="0" applyFont="0" applyFill="0" applyBorder="0" applyProtection="0">
      <alignment horizontal="left" vertical="top" wrapText="1"/>
    </xf>
    <xf numFmtId="0" fontId="11" fillId="0" borderId="0">
      <alignment horizontal="left" vertical="top" wrapText="1"/>
    </xf>
    <xf numFmtId="0" fontId="11" fillId="0" borderId="0">
      <alignment horizontal="left" wrapText="1"/>
    </xf>
    <xf numFmtId="0" fontId="10" fillId="0" borderId="0">
      <alignment horizontal="center" wrapText="1"/>
    </xf>
    <xf numFmtId="44" fontId="11" fillId="0" borderId="0" applyFont="0" applyFill="0" applyBorder="0" applyProtection="0">
      <alignment horizontal="right"/>
    </xf>
    <xf numFmtId="0" fontId="2" fillId="0" borderId="0">
      <alignment horizontal="right" indent="1"/>
    </xf>
    <xf numFmtId="0" fontId="10" fillId="0" borderId="0">
      <alignment horizontal="left" vertical="top"/>
    </xf>
    <xf numFmtId="0" fontId="12" fillId="0" borderId="0">
      <alignment horizontal="right" indent="1"/>
    </xf>
    <xf numFmtId="0" fontId="10" fillId="0" borderId="0">
      <alignment horizontal="right" indent="1"/>
    </xf>
    <xf numFmtId="0" fontId="9" fillId="0" borderId="0">
      <alignment vertical="top" wrapText="1"/>
    </xf>
    <xf numFmtId="0" fontId="8" fillId="0" borderId="0">
      <alignment horizontal="right"/>
    </xf>
    <xf numFmtId="0" fontId="7" fillId="0" borderId="0">
      <alignment horizontal="left" wrapText="1"/>
    </xf>
  </cellStyleXfs>
  <cellXfs count="125">
    <xf numFmtId="0" fontId="0" fillId="0" borderId="0" xfId="0"/>
    <xf numFmtId="0" fontId="3" fillId="0" borderId="0" xfId="0" applyFont="1"/>
    <xf numFmtId="0" fontId="15" fillId="0" borderId="0" xfId="1" applyFont="1"/>
    <xf numFmtId="0" fontId="17" fillId="0" borderId="0" xfId="1" applyFont="1"/>
    <xf numFmtId="0" fontId="6" fillId="0" borderId="0" xfId="0" applyFont="1"/>
    <xf numFmtId="0" fontId="14" fillId="0" borderId="0" xfId="1" applyFont="1"/>
    <xf numFmtId="0" fontId="14" fillId="0" borderId="0" xfId="1" applyFont="1" applyAlignment="1">
      <alignment horizontal="center"/>
    </xf>
    <xf numFmtId="0" fontId="14" fillId="2" borderId="1" xfId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4" fillId="0" borderId="0" xfId="0" applyFont="1"/>
    <xf numFmtId="164" fontId="13" fillId="0" borderId="0" xfId="1" applyNumberFormat="1" applyFont="1" applyAlignment="1">
      <alignment horizontal="center"/>
    </xf>
    <xf numFmtId="0" fontId="13" fillId="5" borderId="2" xfId="0" applyFont="1" applyFill="1" applyBorder="1"/>
    <xf numFmtId="4" fontId="13" fillId="4" borderId="2" xfId="0" applyNumberFormat="1" applyFont="1" applyFill="1" applyBorder="1" applyAlignment="1">
      <alignment horizontal="center"/>
    </xf>
    <xf numFmtId="0" fontId="19" fillId="0" borderId="0" xfId="0" applyFont="1"/>
    <xf numFmtId="0" fontId="6" fillId="7" borderId="0" xfId="0" applyFont="1" applyFill="1"/>
    <xf numFmtId="167" fontId="6" fillId="0" borderId="0" xfId="0" applyNumberFormat="1" applyFont="1"/>
    <xf numFmtId="165" fontId="6" fillId="0" borderId="0" xfId="0" applyNumberFormat="1" applyFont="1"/>
    <xf numFmtId="165" fontId="6" fillId="0" borderId="0" xfId="0" applyNumberFormat="1" applyFont="1" applyAlignment="1">
      <alignment horizontal="center"/>
    </xf>
    <xf numFmtId="0" fontId="15" fillId="0" borderId="0" xfId="1" applyFont="1" applyAlignment="1">
      <alignment horizontal="center"/>
    </xf>
    <xf numFmtId="0" fontId="23" fillId="0" borderId="0" xfId="1" applyFont="1" applyAlignment="1">
      <alignment horizontal="left"/>
    </xf>
    <xf numFmtId="0" fontId="6" fillId="0" borderId="7" xfId="0" applyFont="1" applyBorder="1"/>
    <xf numFmtId="0" fontId="6" fillId="0" borderId="8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7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15" fillId="0" borderId="4" xfId="1" applyFont="1" applyBorder="1"/>
    <xf numFmtId="0" fontId="16" fillId="0" borderId="5" xfId="1" applyFont="1" applyBorder="1"/>
    <xf numFmtId="0" fontId="17" fillId="0" borderId="5" xfId="1" applyFont="1" applyBorder="1"/>
    <xf numFmtId="0" fontId="17" fillId="0" borderId="6" xfId="1" applyFont="1" applyBorder="1"/>
    <xf numFmtId="0" fontId="14" fillId="0" borderId="8" xfId="1" applyFont="1" applyBorder="1"/>
    <xf numFmtId="0" fontId="14" fillId="0" borderId="7" xfId="1" applyFont="1" applyBorder="1" applyAlignment="1">
      <alignment horizontal="center"/>
    </xf>
    <xf numFmtId="0" fontId="14" fillId="0" borderId="8" xfId="1" applyFont="1" applyBorder="1" applyAlignment="1">
      <alignment horizontal="center"/>
    </xf>
    <xf numFmtId="0" fontId="14" fillId="2" borderId="9" xfId="1" applyFont="1" applyFill="1" applyBorder="1" applyAlignment="1" applyProtection="1">
      <alignment horizontal="center"/>
      <protection locked="0"/>
    </xf>
    <xf numFmtId="164" fontId="13" fillId="4" borderId="10" xfId="1" applyNumberFormat="1" applyFont="1" applyFill="1" applyBorder="1" applyAlignment="1">
      <alignment horizontal="center"/>
    </xf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14" fillId="0" borderId="7" xfId="1" applyFont="1" applyBorder="1"/>
    <xf numFmtId="0" fontId="14" fillId="0" borderId="12" xfId="1" applyFont="1" applyBorder="1"/>
    <xf numFmtId="164" fontId="6" fillId="0" borderId="0" xfId="0" applyNumberFormat="1" applyFont="1" applyAlignment="1">
      <alignment horizontal="center"/>
    </xf>
    <xf numFmtId="3" fontId="14" fillId="2" borderId="2" xfId="1" applyNumberFormat="1" applyFont="1" applyFill="1" applyBorder="1" applyAlignment="1" applyProtection="1">
      <alignment horizontal="center"/>
      <protection locked="0"/>
    </xf>
    <xf numFmtId="0" fontId="14" fillId="2" borderId="2" xfId="1" applyFont="1" applyFill="1" applyBorder="1" applyAlignment="1" applyProtection="1">
      <alignment horizontal="center"/>
      <protection locked="0"/>
    </xf>
    <xf numFmtId="0" fontId="24" fillId="0" borderId="0" xfId="0" applyFont="1"/>
    <xf numFmtId="0" fontId="20" fillId="0" borderId="0" xfId="1" applyFont="1"/>
    <xf numFmtId="0" fontId="23" fillId="0" borderId="7" xfId="1" applyFont="1" applyBorder="1" applyAlignment="1">
      <alignment horizontal="left"/>
    </xf>
    <xf numFmtId="0" fontId="23" fillId="0" borderId="7" xfId="1" applyFont="1" applyBorder="1"/>
    <xf numFmtId="0" fontId="23" fillId="0" borderId="0" xfId="1" applyFont="1"/>
    <xf numFmtId="0" fontId="23" fillId="7" borderId="0" xfId="1" applyFont="1" applyFill="1"/>
    <xf numFmtId="0" fontId="4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168" fontId="6" fillId="0" borderId="3" xfId="0" applyNumberFormat="1" applyFont="1" applyBorder="1" applyAlignment="1">
      <alignment horizontal="center"/>
    </xf>
    <xf numFmtId="0" fontId="6" fillId="5" borderId="3" xfId="0" applyFont="1" applyFill="1" applyBorder="1"/>
    <xf numFmtId="0" fontId="4" fillId="5" borderId="3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14" fillId="2" borderId="3" xfId="1" applyFont="1" applyFill="1" applyBorder="1" applyAlignment="1" applyProtection="1">
      <alignment horizontal="center"/>
      <protection locked="0"/>
    </xf>
    <xf numFmtId="2" fontId="18" fillId="4" borderId="3" xfId="1" applyNumberFormat="1" applyFont="1" applyFill="1" applyBorder="1" applyAlignment="1">
      <alignment horizontal="center"/>
    </xf>
    <xf numFmtId="164" fontId="18" fillId="4" borderId="3" xfId="1" applyNumberFormat="1" applyFont="1" applyFill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23" fillId="0" borderId="8" xfId="1" applyFont="1" applyBorder="1" applyAlignment="1">
      <alignment horizontal="left"/>
    </xf>
    <xf numFmtId="0" fontId="4" fillId="0" borderId="5" xfId="0" applyFont="1" applyBorder="1"/>
    <xf numFmtId="0" fontId="23" fillId="7" borderId="7" xfId="1" applyFont="1" applyFill="1" applyBorder="1"/>
    <xf numFmtId="0" fontId="6" fillId="0" borderId="7" xfId="0" applyFont="1" applyBorder="1" applyAlignment="1">
      <alignment horizontal="center"/>
    </xf>
    <xf numFmtId="165" fontId="4" fillId="4" borderId="3" xfId="0" applyNumberFormat="1" applyFont="1" applyFill="1" applyBorder="1"/>
    <xf numFmtId="0" fontId="6" fillId="7" borderId="0" xfId="0" applyFont="1" applyFill="1" applyAlignment="1">
      <alignment horizontal="center"/>
    </xf>
    <xf numFmtId="165" fontId="6" fillId="0" borderId="4" xfId="0" applyNumberFormat="1" applyFont="1" applyBorder="1"/>
    <xf numFmtId="165" fontId="6" fillId="0" borderId="5" xfId="0" applyNumberFormat="1" applyFont="1" applyBorder="1"/>
    <xf numFmtId="0" fontId="6" fillId="7" borderId="7" xfId="0" applyFont="1" applyFill="1" applyBorder="1"/>
    <xf numFmtId="0" fontId="4" fillId="7" borderId="7" xfId="0" applyFont="1" applyFill="1" applyBorder="1" applyAlignment="1">
      <alignment horizontal="center"/>
    </xf>
    <xf numFmtId="0" fontId="6" fillId="7" borderId="8" xfId="0" applyFont="1" applyFill="1" applyBorder="1"/>
    <xf numFmtId="0" fontId="4" fillId="7" borderId="7" xfId="0" applyFont="1" applyFill="1" applyBorder="1"/>
    <xf numFmtId="0" fontId="15" fillId="7" borderId="8" xfId="1" applyFont="1" applyFill="1" applyBorder="1"/>
    <xf numFmtId="165" fontId="13" fillId="7" borderId="8" xfId="0" applyNumberFormat="1" applyFont="1" applyFill="1" applyBorder="1" applyAlignment="1">
      <alignment horizontal="center"/>
    </xf>
    <xf numFmtId="0" fontId="14" fillId="7" borderId="3" xfId="1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165" fontId="14" fillId="7" borderId="3" xfId="1" applyNumberFormat="1" applyFont="1" applyFill="1" applyBorder="1" applyAlignment="1" applyProtection="1">
      <alignment horizontal="center"/>
      <protection locked="0"/>
    </xf>
    <xf numFmtId="165" fontId="14" fillId="7" borderId="3" xfId="1" applyNumberFormat="1" applyFont="1" applyFill="1" applyBorder="1" applyAlignment="1">
      <alignment horizontal="center"/>
    </xf>
    <xf numFmtId="168" fontId="14" fillId="7" borderId="3" xfId="0" applyNumberFormat="1" applyFont="1" applyFill="1" applyBorder="1" applyAlignment="1">
      <alignment horizontal="center"/>
    </xf>
    <xf numFmtId="165" fontId="13" fillId="4" borderId="3" xfId="0" applyNumberFormat="1" applyFont="1" applyFill="1" applyBorder="1" applyAlignment="1">
      <alignment horizontal="center"/>
    </xf>
    <xf numFmtId="0" fontId="4" fillId="7" borderId="3" xfId="0" applyFont="1" applyFill="1" applyBorder="1"/>
    <xf numFmtId="165" fontId="14" fillId="7" borderId="3" xfId="0" applyNumberFormat="1" applyFont="1" applyFill="1" applyBorder="1" applyAlignment="1">
      <alignment horizontal="center"/>
    </xf>
    <xf numFmtId="165" fontId="6" fillId="6" borderId="3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65" fontId="4" fillId="3" borderId="3" xfId="0" applyNumberFormat="1" applyFont="1" applyFill="1" applyBorder="1" applyAlignment="1">
      <alignment horizontal="center"/>
    </xf>
    <xf numFmtId="165" fontId="14" fillId="3" borderId="3" xfId="0" applyNumberFormat="1" applyFont="1" applyFill="1" applyBorder="1" applyAlignment="1">
      <alignment horizontal="center"/>
    </xf>
    <xf numFmtId="165" fontId="6" fillId="0" borderId="3" xfId="0" applyNumberFormat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4" fillId="0" borderId="4" xfId="0" applyFont="1" applyBorder="1"/>
    <xf numFmtId="0" fontId="20" fillId="0" borderId="7" xfId="1" applyFont="1" applyBorder="1"/>
    <xf numFmtId="0" fontId="20" fillId="0" borderId="8" xfId="1" applyFont="1" applyBorder="1"/>
    <xf numFmtId="3" fontId="13" fillId="4" borderId="14" xfId="1" applyNumberFormat="1" applyFont="1" applyFill="1" applyBorder="1" applyAlignment="1" applyProtection="1">
      <alignment horizontal="center"/>
      <protection locked="0"/>
    </xf>
    <xf numFmtId="0" fontId="13" fillId="5" borderId="14" xfId="0" applyFont="1" applyFill="1" applyBorder="1"/>
    <xf numFmtId="4" fontId="13" fillId="4" borderId="15" xfId="0" applyNumberFormat="1" applyFont="1" applyFill="1" applyBorder="1" applyAlignment="1">
      <alignment horizontal="center"/>
    </xf>
    <xf numFmtId="0" fontId="24" fillId="0" borderId="7" xfId="0" applyFont="1" applyBorder="1"/>
    <xf numFmtId="0" fontId="4" fillId="3" borderId="3" xfId="0" applyFont="1" applyFill="1" applyBorder="1" applyAlignment="1" applyProtection="1">
      <alignment horizontal="center"/>
      <protection locked="0"/>
    </xf>
    <xf numFmtId="3" fontId="13" fillId="4" borderId="3" xfId="0" quotePrefix="1" applyNumberFormat="1" applyFont="1" applyFill="1" applyBorder="1" applyAlignment="1">
      <alignment horizontal="center"/>
    </xf>
    <xf numFmtId="3" fontId="18" fillId="4" borderId="3" xfId="1" applyNumberFormat="1" applyFont="1" applyFill="1" applyBorder="1" applyAlignment="1">
      <alignment horizontal="center"/>
    </xf>
    <xf numFmtId="164" fontId="13" fillId="4" borderId="3" xfId="0" applyNumberFormat="1" applyFont="1" applyFill="1" applyBorder="1" applyAlignment="1">
      <alignment horizontal="center"/>
    </xf>
    <xf numFmtId="166" fontId="13" fillId="4" borderId="3" xfId="0" applyNumberFormat="1" applyFont="1" applyFill="1" applyBorder="1" applyAlignment="1">
      <alignment horizontal="center"/>
    </xf>
    <xf numFmtId="3" fontId="14" fillId="2" borderId="3" xfId="1" applyNumberFormat="1" applyFont="1" applyFill="1" applyBorder="1" applyAlignment="1" applyProtection="1">
      <alignment horizontal="center"/>
      <protection locked="0"/>
    </xf>
    <xf numFmtId="165" fontId="4" fillId="4" borderId="3" xfId="0" applyNumberFormat="1" applyFont="1" applyFill="1" applyBorder="1" applyAlignment="1">
      <alignment horizontal="center"/>
    </xf>
    <xf numFmtId="165" fontId="4" fillId="8" borderId="3" xfId="0" applyNumberFormat="1" applyFont="1" applyFill="1" applyBorder="1" applyAlignment="1">
      <alignment horizontal="center"/>
    </xf>
    <xf numFmtId="165" fontId="6" fillId="9" borderId="3" xfId="0" applyNumberFormat="1" applyFont="1" applyFill="1" applyBorder="1" applyAlignment="1">
      <alignment horizontal="center"/>
    </xf>
    <xf numFmtId="165" fontId="6" fillId="8" borderId="3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1" applyFont="1" applyAlignment="1">
      <alignment horizontal="left"/>
    </xf>
    <xf numFmtId="164" fontId="13" fillId="4" borderId="16" xfId="1" applyNumberFormat="1" applyFont="1" applyFill="1" applyBorder="1" applyAlignment="1">
      <alignment horizontal="center"/>
    </xf>
    <xf numFmtId="0" fontId="15" fillId="0" borderId="12" xfId="1" applyFont="1" applyBorder="1"/>
    <xf numFmtId="2" fontId="6" fillId="0" borderId="3" xfId="0" applyNumberFormat="1" applyFont="1" applyBorder="1" applyAlignment="1">
      <alignment horizontal="center"/>
    </xf>
    <xf numFmtId="0" fontId="4" fillId="7" borderId="3" xfId="0" applyFont="1" applyFill="1" applyBorder="1" applyAlignment="1">
      <alignment horizontal="center" vertical="center"/>
    </xf>
    <xf numFmtId="165" fontId="6" fillId="7" borderId="0" xfId="0" applyNumberFormat="1" applyFont="1" applyFill="1"/>
    <xf numFmtId="164" fontId="19" fillId="4" borderId="17" xfId="0" applyNumberFormat="1" applyFont="1" applyFill="1" applyBorder="1" applyAlignment="1">
      <alignment horizontal="center"/>
    </xf>
    <xf numFmtId="164" fontId="13" fillId="4" borderId="3" xfId="1" applyNumberFormat="1" applyFont="1" applyFill="1" applyBorder="1" applyAlignment="1">
      <alignment horizontal="center"/>
    </xf>
    <xf numFmtId="0" fontId="26" fillId="0" borderId="0" xfId="0" applyFont="1"/>
    <xf numFmtId="0" fontId="27" fillId="7" borderId="0" xfId="0" applyFont="1" applyFill="1"/>
    <xf numFmtId="0" fontId="6" fillId="0" borderId="0" xfId="0" applyFont="1" applyAlignment="1">
      <alignment horizontal="center"/>
    </xf>
  </cellXfs>
  <cellStyles count="15">
    <cellStyle name="Comments" xfId="4" xr:uid="{DB5CEDE0-6D60-40DF-ADC8-4867C38904C6}"/>
    <cellStyle name="Currency 2" xfId="7" xr:uid="{F86E995A-FCF1-4923-AAC1-7DE3E73959BC}"/>
    <cellStyle name="Date" xfId="2" xr:uid="{7B61916C-F1FD-4FDC-9608-151D33113347}"/>
    <cellStyle name="Explanatory Text 2" xfId="12" xr:uid="{D69262CF-140B-4527-B878-E4B28816C551}"/>
    <cellStyle name="Heading 1 2" xfId="14" xr:uid="{7D113A01-CF40-4A23-9F02-131AFD8C3830}"/>
    <cellStyle name="Heading 2 2" xfId="11" xr:uid="{4ED16771-E7E7-425B-AD67-EE2FB8A7E205}"/>
    <cellStyle name="Heading 3 2" xfId="9" xr:uid="{3EC18E6A-51C5-4FAD-9329-D696A24C27A4}"/>
    <cellStyle name="Heading 4 2" xfId="10" xr:uid="{BE092D3B-40DA-423C-AD29-ED5AC2FA4345}"/>
    <cellStyle name="Normal" xfId="0" builtinId="0"/>
    <cellStyle name="Normal 2" xfId="1" xr:uid="{00000000-0005-0000-0000-000001000000}"/>
    <cellStyle name="Normal 3" xfId="5" xr:uid="{9FB14BE5-516E-4AAF-8A6A-65F73A70C4EA}"/>
    <cellStyle name="Note 2" xfId="6" xr:uid="{A99211BB-94BA-4A20-A980-86283D1DDF68}"/>
    <cellStyle name="Phone" xfId="3" xr:uid="{FE084B47-B4AA-4C01-A7C7-1B01F3533A93}"/>
    <cellStyle name="Title 2" xfId="13" xr:uid="{89E63CB3-DD7A-486B-9453-DF9184152BE6}"/>
    <cellStyle name="Total 2" xfId="8" xr:uid="{B5D83C2E-3D82-436C-883E-04EDD8923641}"/>
  </cellStyles>
  <dxfs count="5">
    <dxf>
      <font>
        <b/>
        <i val="0"/>
      </font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</border>
    </dxf>
    <dxf>
      <font>
        <b val="0"/>
        <i val="0"/>
        <color theme="1"/>
      </font>
      <border diagonalUp="0" diagonalDown="0">
        <left/>
        <right/>
        <top style="thin">
          <color auto="1"/>
        </top>
        <bottom/>
        <vertical/>
        <horizontal/>
      </border>
    </dxf>
    <dxf>
      <font>
        <b/>
        <i val="0"/>
        <color auto="1"/>
      </font>
      <fill>
        <patternFill patternType="solid">
          <fgColor theme="1"/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horizontal style="thin">
          <color theme="1"/>
        </horizontal>
      </border>
    </dxf>
  </dxfs>
  <tableStyles count="1" defaultTableStyle="TableStyleMedium2" defaultPivotStyle="PivotStyleLight16">
    <tableStyle name="Price quotation without tax" pivot="0" count="5" xr9:uid="{33FEF50A-FE3C-4154-9D34-46A0A0D66D99}">
      <tableStyleElement type="wholeTable" dxfId="4"/>
      <tableStyleElement type="headerRow" dxfId="3"/>
      <tableStyleElement type="totalRow" dxfId="2"/>
      <tableStyleElement type="lastColumn" dxfId="1"/>
      <tableStyleElement type="lastTotalCell" dxfId="0"/>
    </tableStyle>
  </tableStyles>
  <colors>
    <mruColors>
      <color rgb="FFFFFF99"/>
      <color rgb="FF1452AC"/>
      <color rgb="FF6699FF"/>
      <color rgb="FF66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596130</xdr:colOff>
      <xdr:row>0</xdr:row>
      <xdr:rowOff>0</xdr:rowOff>
    </xdr:from>
    <xdr:to>
      <xdr:col>6</xdr:col>
      <xdr:colOff>1413196</xdr:colOff>
      <xdr:row>8</xdr:row>
      <xdr:rowOff>42574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4A5D5E-F3A0-FBB8-CE38-05F9272F9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0026" y="0"/>
          <a:ext cx="6194466" cy="1789620"/>
        </a:xfrm>
        <a:prstGeom prst="rect">
          <a:avLst/>
        </a:prstGeom>
      </xdr:spPr>
    </xdr:pic>
    <xdr:clientData/>
  </xdr:twoCellAnchor>
  <xdr:twoCellAnchor editAs="oneCell">
    <xdr:from>
      <xdr:col>6</xdr:col>
      <xdr:colOff>1123757</xdr:colOff>
      <xdr:row>62</xdr:row>
      <xdr:rowOff>92364</xdr:rowOff>
    </xdr:from>
    <xdr:to>
      <xdr:col>6</xdr:col>
      <xdr:colOff>1443454</xdr:colOff>
      <xdr:row>63</xdr:row>
      <xdr:rowOff>186206</xdr:rowOff>
    </xdr:to>
    <xdr:sp macro="" textlink="">
      <xdr:nvSpPr>
        <xdr:cNvPr id="1025" name="AutoShape 1" descr="Hoofcount">
          <a:extLst>
            <a:ext uri="{FF2B5EF4-FFF2-40B4-BE49-F238E27FC236}">
              <a16:creationId xmlns:a16="http://schemas.microsoft.com/office/drawing/2014/main" id="{8F363AC7-6356-534C-04B6-5F6C7A1AB1C6}"/>
            </a:ext>
          </a:extLst>
        </xdr:cNvPr>
        <xdr:cNvSpPr>
          <a:spLocks noChangeAspect="1" noChangeArrowheads="1"/>
        </xdr:cNvSpPr>
      </xdr:nvSpPr>
      <xdr:spPr bwMode="auto">
        <a:xfrm>
          <a:off x="12961697" y="10906606"/>
          <a:ext cx="304800" cy="307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983499</xdr:colOff>
      <xdr:row>39</xdr:row>
      <xdr:rowOff>43399</xdr:rowOff>
    </xdr:from>
    <xdr:to>
      <xdr:col>5</xdr:col>
      <xdr:colOff>190056</xdr:colOff>
      <xdr:row>40</xdr:row>
      <xdr:rowOff>118086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5A24FC6-F4ED-375E-DA50-CF20A1EDDDAE}"/>
            </a:ext>
          </a:extLst>
        </xdr:cNvPr>
        <xdr:cNvCxnSpPr/>
      </xdr:nvCxnSpPr>
      <xdr:spPr>
        <a:xfrm>
          <a:off x="7387928" y="9205542"/>
          <a:ext cx="670081" cy="298448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1040190</xdr:colOff>
      <xdr:row>43</xdr:row>
      <xdr:rowOff>139095</xdr:rowOff>
    </xdr:from>
    <xdr:to>
      <xdr:col>5</xdr:col>
      <xdr:colOff>229056</xdr:colOff>
      <xdr:row>44</xdr:row>
      <xdr:rowOff>167065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597D2CF-FCD6-4397-8B78-A3CB07053036}"/>
            </a:ext>
          </a:extLst>
        </xdr:cNvPr>
        <xdr:cNvCxnSpPr/>
      </xdr:nvCxnSpPr>
      <xdr:spPr>
        <a:xfrm>
          <a:off x="7444619" y="10226524"/>
          <a:ext cx="652390" cy="251731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71965</xdr:rowOff>
    </xdr:to>
    <xdr:sp macro="" textlink="">
      <xdr:nvSpPr>
        <xdr:cNvPr id="1026" name="AutoShape 2" descr="Hoofcount">
          <a:extLst>
            <a:ext uri="{FF2B5EF4-FFF2-40B4-BE49-F238E27FC236}">
              <a16:creationId xmlns:a16="http://schemas.microsoft.com/office/drawing/2014/main" id="{11F23C1E-1F86-6707-515C-7E5A5E4477B2}"/>
            </a:ext>
          </a:extLst>
        </xdr:cNvPr>
        <xdr:cNvSpPr>
          <a:spLocks noChangeAspect="1" noChangeArrowheads="1"/>
        </xdr:cNvSpPr>
      </xdr:nvSpPr>
      <xdr:spPr bwMode="auto">
        <a:xfrm>
          <a:off x="0" y="180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76200</xdr:rowOff>
    </xdr:to>
    <xdr:sp macro="" textlink="">
      <xdr:nvSpPr>
        <xdr:cNvPr id="1028" name="AutoShape 4" descr="Hoofcount">
          <a:extLst>
            <a:ext uri="{FF2B5EF4-FFF2-40B4-BE49-F238E27FC236}">
              <a16:creationId xmlns:a16="http://schemas.microsoft.com/office/drawing/2014/main" id="{111447D0-C0C2-D7D2-7F1A-71F89AD6ACD5}"/>
            </a:ext>
          </a:extLst>
        </xdr:cNvPr>
        <xdr:cNvSpPr>
          <a:spLocks noChangeAspect="1" noChangeArrowheads="1"/>
        </xdr:cNvSpPr>
      </xdr:nvSpPr>
      <xdr:spPr bwMode="auto">
        <a:xfrm>
          <a:off x="0" y="885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76200</xdr:rowOff>
    </xdr:to>
    <xdr:sp macro="" textlink="">
      <xdr:nvSpPr>
        <xdr:cNvPr id="1029" name="AutoShape 5" descr="Hoofcount">
          <a:extLst>
            <a:ext uri="{FF2B5EF4-FFF2-40B4-BE49-F238E27FC236}">
              <a16:creationId xmlns:a16="http://schemas.microsoft.com/office/drawing/2014/main" id="{C7171CE6-0A3E-8503-397E-8E7784629A26}"/>
            </a:ext>
          </a:extLst>
        </xdr:cNvPr>
        <xdr:cNvSpPr>
          <a:spLocks noChangeAspect="1" noChangeArrowheads="1"/>
        </xdr:cNvSpPr>
      </xdr:nvSpPr>
      <xdr:spPr bwMode="auto">
        <a:xfrm>
          <a:off x="0" y="885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296338</xdr:colOff>
      <xdr:row>46</xdr:row>
      <xdr:rowOff>146951</xdr:rowOff>
    </xdr:from>
    <xdr:to>
      <xdr:col>11</xdr:col>
      <xdr:colOff>1336529</xdr:colOff>
      <xdr:row>46</xdr:row>
      <xdr:rowOff>151190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E9D7182E-DAA7-4AE5-A010-A9EEDB8C534B}"/>
            </a:ext>
          </a:extLst>
        </xdr:cNvPr>
        <xdr:cNvCxnSpPr/>
      </xdr:nvCxnSpPr>
      <xdr:spPr>
        <a:xfrm flipH="1">
          <a:off x="17640909" y="10923808"/>
          <a:ext cx="1040191" cy="4239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114903</xdr:colOff>
      <xdr:row>28</xdr:row>
      <xdr:rowOff>102809</xdr:rowOff>
    </xdr:from>
    <xdr:to>
      <xdr:col>10</xdr:col>
      <xdr:colOff>574522</xdr:colOff>
      <xdr:row>31</xdr:row>
      <xdr:rowOff>24191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ADD04EF7-D504-4416-A046-3CE3ADAFE7CF}"/>
            </a:ext>
          </a:extLst>
        </xdr:cNvPr>
        <xdr:cNvCxnSpPr/>
      </xdr:nvCxnSpPr>
      <xdr:spPr>
        <a:xfrm flipV="1">
          <a:off x="16110856" y="6700762"/>
          <a:ext cx="459619" cy="61081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84"/>
  <sheetViews>
    <sheetView showGridLines="0" tabSelected="1" topLeftCell="A21" zoomScale="70" zoomScaleNormal="70" workbookViewId="0">
      <selection activeCell="F30" sqref="F30"/>
    </sheetView>
  </sheetViews>
  <sheetFormatPr defaultColWidth="8.703125" defaultRowHeight="17.350000000000001" x14ac:dyDescent="0.5"/>
  <cols>
    <col min="1" max="1" width="21" style="4" customWidth="1"/>
    <col min="2" max="2" width="18.1171875" style="4" customWidth="1"/>
    <col min="3" max="3" width="20.41015625" style="4" customWidth="1"/>
    <col min="4" max="4" width="29.41015625" style="4" customWidth="1"/>
    <col min="5" max="5" width="20.29296875" style="4" customWidth="1"/>
    <col min="6" max="6" width="23.41015625" style="4" customWidth="1"/>
    <col min="7" max="7" width="23.5859375" style="4" customWidth="1"/>
    <col min="8" max="8" width="23.29296875" style="4" customWidth="1"/>
    <col min="9" max="9" width="19" style="4" customWidth="1"/>
    <col min="10" max="10" width="23.5859375" style="4" customWidth="1"/>
    <col min="11" max="11" width="18.703125" style="4" customWidth="1"/>
    <col min="12" max="12" width="22.41015625" style="4" customWidth="1"/>
    <col min="13" max="13" width="16.703125" style="4" bestFit="1" customWidth="1"/>
    <col min="14" max="14" width="17.87890625" style="4" customWidth="1"/>
    <col min="15" max="15" width="21.87890625" style="4" bestFit="1" customWidth="1"/>
    <col min="16" max="16" width="24" style="4" bestFit="1" customWidth="1"/>
    <col min="17" max="17" width="13" style="4" bestFit="1" customWidth="1"/>
    <col min="18" max="18" width="10.41015625" style="4" bestFit="1" customWidth="1"/>
    <col min="19" max="19" width="14.87890625" style="4" bestFit="1" customWidth="1"/>
    <col min="20" max="20" width="17.5859375" style="4" bestFit="1" customWidth="1"/>
    <col min="21" max="21" width="20.87890625" style="4" bestFit="1" customWidth="1"/>
    <col min="22" max="22" width="15.41015625" style="4" bestFit="1" customWidth="1"/>
    <col min="23" max="23" width="11" style="4" bestFit="1" customWidth="1"/>
    <col min="24" max="16384" width="8.703125" style="4"/>
  </cols>
  <sheetData>
    <row r="1" spans="1:23" ht="15.75" customHeight="1" x14ac:dyDescent="0.55000000000000004">
      <c r="E1" s="3"/>
      <c r="F1" s="3"/>
      <c r="G1" s="3"/>
      <c r="H1" s="3"/>
      <c r="I1" s="2"/>
    </row>
    <row r="2" spans="1:23" ht="17.7" x14ac:dyDescent="0.55000000000000004">
      <c r="E2" s="5"/>
    </row>
    <row r="5" spans="1:23" x14ac:dyDescent="0.5">
      <c r="A5"/>
    </row>
    <row r="9" spans="1:23" ht="17.7" thickBot="1" x14ac:dyDescent="0.55000000000000004">
      <c r="A9"/>
    </row>
    <row r="10" spans="1:23" ht="18" thickTop="1" x14ac:dyDescent="0.55000000000000004">
      <c r="B10" s="28"/>
      <c r="C10" s="29"/>
      <c r="D10" s="30"/>
      <c r="E10" s="31"/>
      <c r="G10" s="65"/>
      <c r="H10" s="66"/>
      <c r="I10" s="66"/>
      <c r="J10" s="66"/>
      <c r="K10" s="67"/>
      <c r="M10" s="124"/>
      <c r="N10" s="124"/>
      <c r="O10" s="124"/>
      <c r="P10" s="124"/>
      <c r="Q10" s="124"/>
      <c r="R10" s="124"/>
      <c r="S10" s="124"/>
      <c r="T10" s="124"/>
      <c r="U10" s="124"/>
      <c r="V10" s="124"/>
    </row>
    <row r="11" spans="1:23" ht="22.7" x14ac:dyDescent="0.7">
      <c r="B11" s="48" t="s">
        <v>41</v>
      </c>
      <c r="C11" s="49"/>
      <c r="D11" s="49"/>
      <c r="E11" s="32"/>
      <c r="F11" s="1"/>
      <c r="G11" s="47" t="s">
        <v>57</v>
      </c>
      <c r="H11" s="19"/>
      <c r="I11" s="19"/>
      <c r="J11" s="19"/>
      <c r="K11" s="68"/>
      <c r="L11" s="2"/>
    </row>
    <row r="12" spans="1:23" x14ac:dyDescent="0.5">
      <c r="B12" s="20"/>
      <c r="E12" s="21"/>
      <c r="G12" s="20"/>
      <c r="K12" s="21"/>
    </row>
    <row r="13" spans="1:23" ht="18" thickBot="1" x14ac:dyDescent="0.6">
      <c r="B13" s="33" t="s">
        <v>5</v>
      </c>
      <c r="C13" s="6" t="s">
        <v>4</v>
      </c>
      <c r="D13" s="6" t="s">
        <v>0</v>
      </c>
      <c r="E13" s="34" t="s">
        <v>1</v>
      </c>
      <c r="G13" s="33" t="s">
        <v>7</v>
      </c>
      <c r="H13" s="18"/>
      <c r="I13" s="6" t="s">
        <v>1</v>
      </c>
      <c r="J13" s="6" t="s">
        <v>3</v>
      </c>
      <c r="K13" s="34" t="s">
        <v>2</v>
      </c>
    </row>
    <row r="14" spans="1:23" ht="18.350000000000001" thickTop="1" thickBot="1" x14ac:dyDescent="0.6">
      <c r="B14" s="35">
        <v>145.68</v>
      </c>
      <c r="C14" s="7">
        <v>23.64</v>
      </c>
      <c r="D14" s="7">
        <v>5</v>
      </c>
      <c r="E14" s="36">
        <f>B14*C14*D14*0.0043287</f>
        <v>74.537512891200024</v>
      </c>
      <c r="G14" s="62">
        <v>5</v>
      </c>
      <c r="H14" s="6"/>
      <c r="I14" s="63">
        <f>(K14)/15</f>
        <v>2.1757500012941287</v>
      </c>
      <c r="J14" s="64">
        <f>I14*3.785</f>
        <v>8.2352137548982771</v>
      </c>
      <c r="K14" s="64">
        <f>((((E14*8.34))*(1+G14/100)))*(G14/100)</f>
        <v>32.636250019411932</v>
      </c>
    </row>
    <row r="15" spans="1:23" ht="18" thickBot="1" x14ac:dyDescent="0.6">
      <c r="B15" s="37"/>
      <c r="C15" s="38"/>
      <c r="D15" s="38"/>
      <c r="E15" s="39"/>
      <c r="G15" s="24" t="s">
        <v>6</v>
      </c>
      <c r="H15" s="9"/>
      <c r="I15" s="9"/>
      <c r="J15" s="9"/>
      <c r="K15" s="23"/>
      <c r="L15" s="9"/>
      <c r="W15" s="8"/>
    </row>
    <row r="16" spans="1:23" ht="18.350000000000001" thickTop="1" thickBot="1" x14ac:dyDescent="0.6">
      <c r="G16" s="25"/>
      <c r="H16" s="26"/>
      <c r="I16" s="26"/>
      <c r="J16" s="26"/>
      <c r="K16" s="27"/>
      <c r="L16" s="9"/>
      <c r="W16" s="8"/>
    </row>
    <row r="17" spans="1:24" ht="18.350000000000001" thickTop="1" thickBot="1" x14ac:dyDescent="0.6">
      <c r="F17" s="9"/>
      <c r="W17" s="8"/>
    </row>
    <row r="18" spans="1:24" ht="18" thickTop="1" thickBot="1" x14ac:dyDescent="0.55000000000000004">
      <c r="B18" s="65"/>
      <c r="C18" s="66"/>
      <c r="D18" s="66"/>
      <c r="E18" s="67"/>
      <c r="W18" s="8"/>
    </row>
    <row r="19" spans="1:24" ht="23" thickTop="1" x14ac:dyDescent="0.7">
      <c r="B19" s="102" t="s">
        <v>42</v>
      </c>
      <c r="D19" s="45"/>
      <c r="E19" s="23"/>
      <c r="G19" s="65"/>
      <c r="H19" s="66"/>
      <c r="I19" s="66"/>
      <c r="J19" s="66"/>
      <c r="K19" s="66"/>
      <c r="L19" s="66"/>
      <c r="M19" s="67"/>
    </row>
    <row r="20" spans="1:24" ht="22.7" x14ac:dyDescent="0.7">
      <c r="B20" s="20"/>
      <c r="E20" s="21"/>
      <c r="G20" s="97" t="s">
        <v>30</v>
      </c>
      <c r="H20" s="46"/>
      <c r="I20" s="46"/>
      <c r="J20" s="2"/>
      <c r="K20" s="2"/>
      <c r="M20" s="21"/>
      <c r="W20" s="8"/>
    </row>
    <row r="21" spans="1:24" ht="18" thickBot="1" x14ac:dyDescent="0.6">
      <c r="B21" s="22" t="s">
        <v>51</v>
      </c>
      <c r="D21" s="9" t="s">
        <v>46</v>
      </c>
      <c r="E21" s="21"/>
      <c r="G21" s="40"/>
      <c r="H21" s="2"/>
      <c r="I21" s="2"/>
      <c r="J21" s="2"/>
      <c r="K21" s="2"/>
      <c r="M21" s="21"/>
      <c r="W21" s="8"/>
    </row>
    <row r="22" spans="1:24" ht="18.350000000000001" thickTop="1" thickBot="1" x14ac:dyDescent="0.6">
      <c r="A22" s="9"/>
      <c r="B22" s="103">
        <v>1</v>
      </c>
      <c r="D22" s="104">
        <f>IF( B22=1,300,200)*(E14/50)</f>
        <v>447.22507734720011</v>
      </c>
      <c r="E22" s="21"/>
      <c r="G22" s="20"/>
      <c r="M22" s="21"/>
      <c r="W22" s="8"/>
    </row>
    <row r="23" spans="1:24" ht="18.350000000000001" thickTop="1" thickBot="1" x14ac:dyDescent="0.6">
      <c r="A23" s="9"/>
      <c r="B23" s="24" t="s">
        <v>48</v>
      </c>
      <c r="C23" s="9"/>
      <c r="D23" s="9"/>
      <c r="E23" s="23"/>
      <c r="G23" s="33" t="s">
        <v>8</v>
      </c>
      <c r="H23" s="6" t="s">
        <v>49</v>
      </c>
      <c r="I23" s="114" t="s">
        <v>59</v>
      </c>
      <c r="J23" s="114"/>
      <c r="K23" s="114"/>
      <c r="M23" s="21"/>
      <c r="W23" s="8"/>
    </row>
    <row r="24" spans="1:24" ht="18.350000000000001" thickTop="1" thickBot="1" x14ac:dyDescent="0.6">
      <c r="B24" s="25" t="s">
        <v>47</v>
      </c>
      <c r="C24" s="26"/>
      <c r="D24" s="26"/>
      <c r="E24" s="27"/>
      <c r="G24" s="108">
        <v>2500</v>
      </c>
      <c r="H24" s="108">
        <v>400</v>
      </c>
      <c r="I24" s="62">
        <v>4</v>
      </c>
      <c r="J24" s="6"/>
      <c r="M24" s="21"/>
      <c r="W24" s="8"/>
    </row>
    <row r="25" spans="1:24" ht="18" thickTop="1" x14ac:dyDescent="0.55000000000000004">
      <c r="G25" s="33"/>
      <c r="H25" s="2"/>
      <c r="I25" s="2"/>
      <c r="J25" s="9"/>
      <c r="M25" s="21"/>
      <c r="W25" s="8"/>
    </row>
    <row r="26" spans="1:24" ht="18" thickBot="1" x14ac:dyDescent="0.6">
      <c r="G26" s="20"/>
      <c r="I26" s="9" t="s">
        <v>50</v>
      </c>
      <c r="J26" s="9"/>
      <c r="M26" s="21"/>
      <c r="W26" s="8"/>
    </row>
    <row r="27" spans="1:24" ht="18.350000000000001" thickTop="1" thickBot="1" x14ac:dyDescent="0.6">
      <c r="B27" s="96"/>
      <c r="C27" s="69"/>
      <c r="D27" s="69"/>
      <c r="E27" s="67"/>
      <c r="G27" s="33" t="s">
        <v>16</v>
      </c>
      <c r="H27" s="6" t="s">
        <v>17</v>
      </c>
      <c r="I27" s="6" t="s">
        <v>20</v>
      </c>
      <c r="J27" s="6" t="s">
        <v>18</v>
      </c>
      <c r="K27" s="6" t="s">
        <v>19</v>
      </c>
      <c r="L27" s="113" t="s">
        <v>64</v>
      </c>
      <c r="M27" s="23" t="s">
        <v>61</v>
      </c>
      <c r="W27" s="8"/>
    </row>
    <row r="28" spans="1:24" ht="23.35" thickTop="1" thickBot="1" x14ac:dyDescent="0.75">
      <c r="B28" s="97" t="s">
        <v>40</v>
      </c>
      <c r="C28" s="46"/>
      <c r="D28" s="46"/>
      <c r="E28" s="98"/>
      <c r="G28" s="64">
        <f>(G24/H24*I24)*I14*4.33</f>
        <v>235.52493764008943</v>
      </c>
      <c r="H28" s="105">
        <f>((G24/H24)*I24)*K14*4.33</f>
        <v>3532.8740646013416</v>
      </c>
      <c r="I28" s="106">
        <f>J28/15</f>
        <v>2826.2992516810732</v>
      </c>
      <c r="J28" s="107">
        <f>H28*12</f>
        <v>42394.488775216101</v>
      </c>
      <c r="K28" s="115">
        <f>J28/3050</f>
        <v>13.899832385316754</v>
      </c>
      <c r="L28" s="121">
        <f>K28/13</f>
        <v>1.0692178757935964</v>
      </c>
      <c r="M28" s="120">
        <f>I28/3000</f>
        <v>0.94209975056035777</v>
      </c>
      <c r="X28" s="8"/>
    </row>
    <row r="29" spans="1:24" ht="18" thickTop="1" x14ac:dyDescent="0.55000000000000004">
      <c r="B29" s="33"/>
      <c r="C29" s="6"/>
      <c r="D29" s="6"/>
      <c r="E29" s="23"/>
      <c r="G29" s="40" t="s">
        <v>12</v>
      </c>
      <c r="H29" s="5"/>
      <c r="I29" s="5"/>
      <c r="J29" s="5"/>
      <c r="K29" s="2"/>
      <c r="M29" s="21"/>
      <c r="W29" s="8"/>
    </row>
    <row r="30" spans="1:24" ht="18" thickBot="1" x14ac:dyDescent="0.6">
      <c r="B30" s="33" t="s">
        <v>8</v>
      </c>
      <c r="C30" s="6" t="s">
        <v>11</v>
      </c>
      <c r="D30" s="6" t="s">
        <v>59</v>
      </c>
      <c r="E30" s="34"/>
      <c r="G30" s="25" t="s">
        <v>13</v>
      </c>
      <c r="H30" s="26"/>
      <c r="I30" s="41"/>
      <c r="J30" s="41"/>
      <c r="K30" s="116"/>
      <c r="L30" s="38"/>
      <c r="M30" s="39"/>
      <c r="W30" s="8"/>
    </row>
    <row r="31" spans="1:24" ht="18" thickTop="1" x14ac:dyDescent="0.55000000000000004">
      <c r="B31" s="99">
        <v>2500</v>
      </c>
      <c r="C31" s="43">
        <v>400</v>
      </c>
      <c r="D31" s="44">
        <v>4</v>
      </c>
      <c r="E31" s="34"/>
      <c r="W31" s="8"/>
    </row>
    <row r="32" spans="1:24" x14ac:dyDescent="0.5">
      <c r="B32" s="20"/>
      <c r="E32" s="21"/>
      <c r="F32" s="2"/>
      <c r="G32" s="2"/>
      <c r="H32" s="2"/>
      <c r="I32" s="2"/>
      <c r="J32" s="2"/>
      <c r="N32" s="8"/>
      <c r="P32" s="8"/>
      <c r="Q32" s="8"/>
      <c r="R32" s="8"/>
      <c r="S32" s="8"/>
      <c r="T32" s="8"/>
      <c r="U32" s="8"/>
      <c r="V32" s="8"/>
      <c r="W32" s="8"/>
    </row>
    <row r="33" spans="2:23" ht="17.7" x14ac:dyDescent="0.55000000000000004">
      <c r="B33" s="24"/>
      <c r="C33" s="6" t="s">
        <v>17</v>
      </c>
      <c r="D33" s="9"/>
      <c r="E33" s="34" t="s">
        <v>18</v>
      </c>
      <c r="F33" s="2"/>
      <c r="G33" s="2"/>
      <c r="H33" s="2"/>
      <c r="I33" s="2"/>
      <c r="J33" s="2"/>
      <c r="N33" s="8"/>
      <c r="O33" s="8"/>
      <c r="P33" s="17"/>
      <c r="Q33" s="8"/>
      <c r="R33" s="8"/>
      <c r="S33" s="8"/>
      <c r="T33" s="8"/>
      <c r="U33" s="8"/>
      <c r="V33" s="8"/>
      <c r="W33" s="8"/>
    </row>
    <row r="34" spans="2:23" ht="17.7" x14ac:dyDescent="0.55000000000000004">
      <c r="B34" s="100"/>
      <c r="C34" s="12">
        <f>(((B31/C31)*D31)*4.33)*'Footbath Protocol'!E43</f>
        <v>3532.8740646013416</v>
      </c>
      <c r="D34" s="11"/>
      <c r="E34" s="101">
        <f>C34*12</f>
        <v>42394.488775216101</v>
      </c>
      <c r="W34" s="8"/>
    </row>
    <row r="35" spans="2:23" ht="18" thickBot="1" x14ac:dyDescent="0.6">
      <c r="B35" s="37"/>
      <c r="C35" s="38"/>
      <c r="D35" s="38"/>
      <c r="E35" s="39"/>
      <c r="L35" s="6"/>
      <c r="W35" s="8"/>
    </row>
    <row r="36" spans="2:23" ht="18" thickTop="1" x14ac:dyDescent="0.55000000000000004">
      <c r="L36" s="10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2:23" ht="18" thickBot="1" x14ac:dyDescent="0.6">
      <c r="F37" s="9"/>
      <c r="G37" s="9"/>
      <c r="H37" s="9"/>
      <c r="I37" s="9"/>
      <c r="K37" s="2"/>
      <c r="M37" s="8"/>
      <c r="V37" s="8"/>
    </row>
    <row r="38" spans="2:23" ht="18" thickTop="1" x14ac:dyDescent="0.55000000000000004">
      <c r="B38" s="65"/>
      <c r="C38" s="69"/>
      <c r="D38" s="66"/>
      <c r="E38" s="66"/>
      <c r="F38" s="69"/>
      <c r="G38" s="69"/>
      <c r="H38" s="69"/>
      <c r="I38" s="69"/>
      <c r="J38" s="66"/>
      <c r="K38" s="67"/>
      <c r="L38" s="8"/>
      <c r="M38" s="8"/>
    </row>
    <row r="39" spans="2:23" ht="22.7" x14ac:dyDescent="0.7">
      <c r="B39" s="70" t="s">
        <v>52</v>
      </c>
      <c r="C39" s="50"/>
      <c r="D39" s="50"/>
      <c r="E39" s="50"/>
      <c r="F39" s="9"/>
      <c r="G39" s="9"/>
      <c r="H39" s="9"/>
      <c r="K39" s="21"/>
      <c r="L39" s="8"/>
      <c r="M39" s="8"/>
    </row>
    <row r="40" spans="2:23" ht="17.7" x14ac:dyDescent="0.55000000000000004">
      <c r="B40" s="20"/>
      <c r="D40" s="9"/>
      <c r="E40" s="9"/>
      <c r="H40" s="9"/>
      <c r="I40" s="9"/>
      <c r="J40" s="9"/>
      <c r="K40" s="21"/>
      <c r="L40" s="8"/>
      <c r="M40" s="8"/>
    </row>
    <row r="41" spans="2:23" ht="18" thickBot="1" x14ac:dyDescent="0.6">
      <c r="B41" s="22" t="s">
        <v>26</v>
      </c>
      <c r="C41" s="8"/>
      <c r="D41" s="8"/>
      <c r="E41" s="8"/>
      <c r="F41" s="113" t="s">
        <v>60</v>
      </c>
      <c r="K41" s="21"/>
      <c r="L41" s="8"/>
      <c r="M41" s="8"/>
    </row>
    <row r="42" spans="2:23" ht="18.350000000000001" thickTop="1" thickBot="1" x14ac:dyDescent="0.6">
      <c r="B42" s="20"/>
      <c r="C42" s="53" t="s">
        <v>33</v>
      </c>
      <c r="D42" s="54" t="s">
        <v>32</v>
      </c>
      <c r="E42" s="54" t="s">
        <v>56</v>
      </c>
      <c r="F42" s="54" t="s">
        <v>22</v>
      </c>
      <c r="G42" s="54" t="s">
        <v>28</v>
      </c>
      <c r="H42" s="54" t="s">
        <v>23</v>
      </c>
      <c r="I42" s="54" t="s">
        <v>24</v>
      </c>
      <c r="J42" s="54" t="s">
        <v>31</v>
      </c>
      <c r="K42" s="54" t="s">
        <v>25</v>
      </c>
      <c r="L42" s="8"/>
      <c r="M42" s="8"/>
    </row>
    <row r="43" spans="2:23" ht="18.350000000000001" thickTop="1" thickBot="1" x14ac:dyDescent="0.6">
      <c r="B43" s="20"/>
      <c r="C43" s="55">
        <v>5</v>
      </c>
      <c r="D43" s="117">
        <f>E43/50</f>
        <v>0.65272500038823866</v>
      </c>
      <c r="E43" s="56">
        <f>(((('Footbath Protocol'!E14*8.34))*(1+C43/100)))*(C43/100)</f>
        <v>32.636250019411932</v>
      </c>
      <c r="F43" s="112">
        <v>90</v>
      </c>
      <c r="G43" s="90">
        <f>F43/50</f>
        <v>1.8</v>
      </c>
      <c r="H43" s="111">
        <f>F43*D43</f>
        <v>58.745250034941478</v>
      </c>
      <c r="I43" s="57">
        <f>((('Footbath Protocol'!B31/'Footbath Protocol'!C31)*'Footbath Protocol'!D31)*4.33)*H43</f>
        <v>6359.1733162824148</v>
      </c>
      <c r="J43" s="58">
        <f>K43/('Footbath Protocol'!B31*365)</f>
        <v>8.3627484707275587E-2</v>
      </c>
      <c r="K43" s="110">
        <f>I43*12</f>
        <v>76310.079795388971</v>
      </c>
      <c r="L43" s="8"/>
      <c r="M43" s="8"/>
    </row>
    <row r="44" spans="2:23" ht="17.7" thickTop="1" x14ac:dyDescent="0.5">
      <c r="B44" s="20"/>
      <c r="C44" s="8"/>
      <c r="D44" s="8"/>
      <c r="E44" s="8"/>
      <c r="F44" s="8"/>
      <c r="G44" s="8"/>
      <c r="H44" s="8"/>
      <c r="I44" s="8"/>
      <c r="J44"/>
      <c r="K44" s="21"/>
      <c r="M44" s="8"/>
      <c r="N44" s="8"/>
    </row>
    <row r="45" spans="2:23" ht="18" thickBot="1" x14ac:dyDescent="0.6">
      <c r="B45" s="22" t="s">
        <v>27</v>
      </c>
      <c r="C45" s="8"/>
      <c r="D45" s="8"/>
      <c r="E45" s="8"/>
      <c r="F45" s="113" t="s">
        <v>60</v>
      </c>
      <c r="G45" s="8"/>
      <c r="H45" s="8"/>
      <c r="I45" s="8"/>
      <c r="J45"/>
      <c r="K45" s="21"/>
      <c r="M45" s="8"/>
      <c r="N45" s="8"/>
    </row>
    <row r="46" spans="2:23" ht="18.350000000000001" thickTop="1" thickBot="1" x14ac:dyDescent="0.6">
      <c r="B46" s="20"/>
      <c r="C46" s="59"/>
      <c r="D46" s="54" t="s">
        <v>55</v>
      </c>
      <c r="E46" s="60"/>
      <c r="F46" s="54" t="s">
        <v>28</v>
      </c>
      <c r="G46" s="54" t="s">
        <v>23</v>
      </c>
      <c r="H46" s="54" t="s">
        <v>24</v>
      </c>
      <c r="I46" s="54" t="s">
        <v>31</v>
      </c>
      <c r="J46" s="54" t="s">
        <v>62</v>
      </c>
      <c r="K46" s="54" t="s">
        <v>25</v>
      </c>
      <c r="M46" s="8"/>
      <c r="N46" s="8"/>
    </row>
    <row r="47" spans="2:23" ht="18.350000000000001" thickTop="1" thickBot="1" x14ac:dyDescent="0.6">
      <c r="B47" s="20"/>
      <c r="C47" s="61"/>
      <c r="D47" s="56">
        <f>'Footbath Protocol'!K14</f>
        <v>32.636250019411932</v>
      </c>
      <c r="E47" s="61"/>
      <c r="F47" s="90">
        <v>1.49</v>
      </c>
      <c r="G47" s="111">
        <f>'Footbath Protocol'!K14*'Footbath Protocol'!B62</f>
        <v>48.628012528923776</v>
      </c>
      <c r="H47" s="57">
        <f>'Footbath Protocol'!H28*'Footbath Protocol'!B62</f>
        <v>5263.9823562559986</v>
      </c>
      <c r="I47" s="58">
        <f>(K47)/('Footbath Protocol'!G24*365)</f>
        <v>6.9224973452133687E-2</v>
      </c>
      <c r="J47" s="109">
        <f>I47*30</f>
        <v>2.0767492035640105</v>
      </c>
      <c r="K47" s="109">
        <f>H47*12</f>
        <v>63167.788275071987</v>
      </c>
      <c r="M47" s="113" t="s">
        <v>63</v>
      </c>
      <c r="N47" s="8"/>
    </row>
    <row r="48" spans="2:23" ht="18" thickTop="1" thickBot="1" x14ac:dyDescent="0.55000000000000004">
      <c r="B48" s="71"/>
      <c r="C48" s="8"/>
      <c r="D48" s="8"/>
      <c r="E48" s="42"/>
      <c r="F48" s="8"/>
      <c r="G48" s="8"/>
      <c r="H48" s="8"/>
      <c r="I48" s="8"/>
      <c r="J48"/>
      <c r="K48" s="21"/>
      <c r="L48" s="13"/>
      <c r="M48" s="8"/>
      <c r="N48" s="8" t="s">
        <v>21</v>
      </c>
      <c r="O48" s="4" t="s">
        <v>21</v>
      </c>
    </row>
    <row r="49" spans="1:22" ht="18.350000000000001" thickTop="1" thickBot="1" x14ac:dyDescent="0.6">
      <c r="B49" s="22" t="s">
        <v>29</v>
      </c>
      <c r="C49" s="54" t="s">
        <v>28</v>
      </c>
      <c r="D49" s="54" t="s">
        <v>23</v>
      </c>
      <c r="E49" s="54" t="s">
        <v>24</v>
      </c>
      <c r="F49" s="54" t="s">
        <v>31</v>
      </c>
      <c r="G49" s="54" t="s">
        <v>25</v>
      </c>
      <c r="H49" s="8"/>
      <c r="I49" s="8"/>
      <c r="J49"/>
      <c r="K49" s="21"/>
      <c r="M49" s="8"/>
      <c r="N49" s="8"/>
    </row>
    <row r="50" spans="1:22" ht="18.350000000000001" thickTop="1" thickBot="1" x14ac:dyDescent="0.6">
      <c r="B50" s="20"/>
      <c r="C50" s="57">
        <f>G43-F47</f>
        <v>0.31000000000000005</v>
      </c>
      <c r="D50" s="57">
        <f>H43-G47</f>
        <v>10.117237506017702</v>
      </c>
      <c r="E50" s="57">
        <f>I43-H47</f>
        <v>1095.1909600264162</v>
      </c>
      <c r="F50" s="57">
        <f>J43-I47</f>
        <v>1.44025112551419E-2</v>
      </c>
      <c r="G50" s="72">
        <f>K43-K47</f>
        <v>13142.291520316983</v>
      </c>
      <c r="H50" s="8"/>
      <c r="I50" s="8"/>
      <c r="J50"/>
      <c r="K50" s="21"/>
      <c r="M50" s="8"/>
      <c r="N50" s="8"/>
    </row>
    <row r="51" spans="1:22" ht="18" thickTop="1" thickBot="1" x14ac:dyDescent="0.55000000000000004">
      <c r="B51" s="37"/>
      <c r="C51" s="38"/>
      <c r="D51" s="38"/>
      <c r="E51" s="38"/>
      <c r="F51" s="38"/>
      <c r="G51" s="38"/>
      <c r="H51" s="38"/>
      <c r="I51" s="38"/>
      <c r="J51" s="38"/>
      <c r="K51" s="39"/>
      <c r="M51" s="8"/>
      <c r="N51" s="8"/>
    </row>
    <row r="52" spans="1:22" ht="17.7" thickTop="1" x14ac:dyDescent="0.5">
      <c r="M52" s="8"/>
      <c r="N52" s="8"/>
    </row>
    <row r="53" spans="1:22" x14ac:dyDescent="0.5">
      <c r="M53" s="8"/>
      <c r="N53" s="8"/>
    </row>
    <row r="54" spans="1:22" ht="33.35" thickBot="1" x14ac:dyDescent="1.05">
      <c r="B54" s="122" t="s">
        <v>65</v>
      </c>
      <c r="M54" s="8"/>
      <c r="N54" s="8"/>
    </row>
    <row r="55" spans="1:22" ht="17.7" thickTop="1" x14ac:dyDescent="0.5">
      <c r="B55" s="74"/>
      <c r="C55" s="75"/>
      <c r="D55" s="75"/>
      <c r="E55" s="66"/>
      <c r="F55" s="66"/>
      <c r="G55" s="66"/>
      <c r="H55" s="66"/>
      <c r="I55" s="67"/>
      <c r="M55" s="8"/>
      <c r="N55" s="8"/>
    </row>
    <row r="56" spans="1:22" ht="22.7" x14ac:dyDescent="0.7">
      <c r="A56" s="9"/>
      <c r="B56" s="70" t="s">
        <v>53</v>
      </c>
      <c r="C56" s="50"/>
      <c r="D56" s="50"/>
      <c r="E56" s="50"/>
      <c r="I56" s="21"/>
      <c r="M56" s="8"/>
      <c r="N56" s="8"/>
    </row>
    <row r="57" spans="1:22" x14ac:dyDescent="0.5">
      <c r="B57" s="76"/>
      <c r="C57" s="14"/>
      <c r="D57" s="14"/>
      <c r="E57" s="14"/>
      <c r="I57" s="21"/>
      <c r="N57" s="8"/>
    </row>
    <row r="58" spans="1:22" ht="18" thickBot="1" x14ac:dyDescent="0.6">
      <c r="B58" s="77" t="s">
        <v>38</v>
      </c>
      <c r="C58" s="14"/>
      <c r="D58" s="14"/>
      <c r="E58" s="14"/>
      <c r="F58" s="14"/>
      <c r="G58" s="14"/>
      <c r="H58" s="14"/>
      <c r="I58" s="78"/>
      <c r="N58" s="8"/>
      <c r="O58" s="14"/>
      <c r="P58" s="14"/>
      <c r="Q58" s="14"/>
      <c r="R58" s="14"/>
      <c r="S58" s="14"/>
      <c r="T58" s="14"/>
      <c r="U58" s="14"/>
      <c r="V58" s="14"/>
    </row>
    <row r="59" spans="1:22" s="14" customFormat="1" ht="18.350000000000001" thickTop="1" thickBot="1" x14ac:dyDescent="0.6">
      <c r="B59" s="91">
        <v>0</v>
      </c>
      <c r="I59" s="78"/>
      <c r="J59" s="4"/>
      <c r="K59" s="4"/>
    </row>
    <row r="60" spans="1:22" s="14" customFormat="1" ht="18.350000000000001" thickTop="1" thickBot="1" x14ac:dyDescent="0.6">
      <c r="B60" s="79"/>
      <c r="F60" s="4"/>
      <c r="G60" s="4"/>
      <c r="H60" s="4"/>
      <c r="I60" s="21"/>
      <c r="J60" s="4"/>
      <c r="K60" s="16"/>
    </row>
    <row r="61" spans="1:22" ht="18.350000000000001" thickTop="1" thickBot="1" x14ac:dyDescent="0.6">
      <c r="B61" s="77" t="s">
        <v>54</v>
      </c>
      <c r="C61" s="14"/>
      <c r="D61" s="82" t="s">
        <v>14</v>
      </c>
      <c r="E61" s="82" t="s">
        <v>9</v>
      </c>
      <c r="F61" s="82" t="s">
        <v>10</v>
      </c>
      <c r="G61" s="83" t="s">
        <v>15</v>
      </c>
      <c r="H61" s="83" t="s">
        <v>58</v>
      </c>
      <c r="I61" s="80"/>
      <c r="J61" s="14"/>
      <c r="K61" s="14"/>
    </row>
    <row r="62" spans="1:22" s="14" customFormat="1" ht="18.350000000000001" thickTop="1" thickBot="1" x14ac:dyDescent="0.6">
      <c r="B62" s="92">
        <f>F47</f>
        <v>1.49</v>
      </c>
      <c r="D62" s="84">
        <f>B62*15</f>
        <v>22.35</v>
      </c>
      <c r="E62" s="85">
        <f>K14*B62</f>
        <v>48.628012528923776</v>
      </c>
      <c r="F62" s="85">
        <f>(D62*(I28)/G24)</f>
        <v>25.267115310028796</v>
      </c>
      <c r="G62" s="86">
        <f>F62/365</f>
        <v>6.9224973452133687E-2</v>
      </c>
      <c r="H62" s="87">
        <f>(H28)*B59*B62</f>
        <v>0</v>
      </c>
      <c r="I62" s="81"/>
      <c r="M62" s="51"/>
    </row>
    <row r="63" spans="1:22" s="14" customFormat="1" ht="18" thickTop="1" thickBot="1" x14ac:dyDescent="0.55000000000000004">
      <c r="B63" s="20"/>
      <c r="C63" s="4"/>
      <c r="D63" s="4"/>
      <c r="E63" s="4"/>
      <c r="F63" s="4"/>
      <c r="G63" s="4"/>
      <c r="H63" s="4"/>
      <c r="I63" s="21"/>
      <c r="J63" s="4"/>
      <c r="K63" s="4"/>
    </row>
    <row r="64" spans="1:22" s="14" customFormat="1" ht="18.350000000000001" thickTop="1" thickBot="1" x14ac:dyDescent="0.6">
      <c r="A64" s="123"/>
      <c r="B64" s="79" t="s">
        <v>35</v>
      </c>
      <c r="D64" s="88" t="s">
        <v>34</v>
      </c>
      <c r="E64" s="88" t="s">
        <v>31</v>
      </c>
      <c r="F64" s="118" t="s">
        <v>36</v>
      </c>
      <c r="G64" s="88" t="s">
        <v>37</v>
      </c>
      <c r="H64" s="88" t="s">
        <v>39</v>
      </c>
      <c r="I64" s="54" t="s">
        <v>45</v>
      </c>
      <c r="N64" s="73"/>
    </row>
    <row r="65" spans="2:18" s="14" customFormat="1" ht="18.350000000000001" thickTop="1" thickBot="1" x14ac:dyDescent="0.6">
      <c r="B65" s="93">
        <v>0</v>
      </c>
      <c r="D65" s="89">
        <f>'Footbath Protocol'!K47</f>
        <v>63167.788275071987</v>
      </c>
      <c r="E65" s="86">
        <f>(H62+B65)/(G24*365)</f>
        <v>0</v>
      </c>
      <c r="F65" s="89" t="e">
        <f>((E65*G24)*365)/B59</f>
        <v>#DIV/0!</v>
      </c>
      <c r="G65" s="89" t="e">
        <f>F65/G24</f>
        <v>#DIV/0!</v>
      </c>
      <c r="H65" s="87">
        <f>H62+C68</f>
        <v>0</v>
      </c>
      <c r="I65" s="90" t="e">
        <f>H65/B59</f>
        <v>#DIV/0!</v>
      </c>
      <c r="K65" s="119"/>
    </row>
    <row r="66" spans="2:18" s="14" customFormat="1" ht="17.7" thickTop="1" x14ac:dyDescent="0.5">
      <c r="B66" s="20"/>
      <c r="C66" s="4"/>
      <c r="D66" s="4"/>
      <c r="E66" s="4"/>
      <c r="I66" s="78"/>
      <c r="J66" s="4"/>
      <c r="L66" s="4"/>
      <c r="M66" s="4"/>
      <c r="N66" s="4"/>
      <c r="O66" s="4"/>
      <c r="P66" s="4"/>
      <c r="Q66" s="4"/>
      <c r="R66" s="4"/>
    </row>
    <row r="67" spans="2:18" ht="18" thickBot="1" x14ac:dyDescent="0.6">
      <c r="B67" s="24" t="s">
        <v>44</v>
      </c>
      <c r="C67" s="9" t="s">
        <v>43</v>
      </c>
      <c r="I67" s="21"/>
      <c r="K67" s="14"/>
      <c r="M67" s="52"/>
    </row>
    <row r="68" spans="2:18" ht="18" thickTop="1" thickBot="1" x14ac:dyDescent="0.55000000000000004">
      <c r="B68" s="95">
        <v>0</v>
      </c>
      <c r="C68" s="94">
        <f>B65*(B68/100)+B65</f>
        <v>0</v>
      </c>
      <c r="D68" s="38"/>
      <c r="E68" s="38"/>
      <c r="F68" s="38"/>
      <c r="G68" s="38"/>
      <c r="H68" s="38"/>
      <c r="I68" s="39"/>
    </row>
    <row r="69" spans="2:18" ht="17.7" thickTop="1" x14ac:dyDescent="0.5">
      <c r="J69" s="14"/>
      <c r="K69" s="14"/>
    </row>
    <row r="83" spans="14:15" x14ac:dyDescent="0.5">
      <c r="N83" s="15"/>
      <c r="O83" s="15"/>
    </row>
    <row r="84" spans="14:15" x14ac:dyDescent="0.5">
      <c r="N84" s="16"/>
      <c r="O84" s="16"/>
    </row>
  </sheetData>
  <sheetProtection algorithmName="SHA-512" hashValue="YUyaVio+T5TrWT1ZiAd24ffe6Foe526R9FtPi9IGgvHhfoj/8KkSYlaEvMbvJtX9dg8TFK/uBj2l3KIBV5qTMw==" saltValue="5GV7YU/7iUn64VkJOCSbqA==" spinCount="100000" sheet="1" objects="1" scenarios="1"/>
  <mergeCells count="1">
    <mergeCell ref="M10:V10"/>
  </mergeCells>
  <pageMargins left="0.7" right="0.7" top="0.75" bottom="0.75" header="0.3" footer="0.3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A8993-D177-4EEB-A505-5CB564432FCD}">
  <dimension ref="B2:J20"/>
  <sheetViews>
    <sheetView workbookViewId="0">
      <selection activeCell="C8" sqref="C8:K17"/>
    </sheetView>
  </sheetViews>
  <sheetFormatPr defaultRowHeight="14.35" x14ac:dyDescent="0.5"/>
  <cols>
    <col min="2" max="2" width="11.5859375" bestFit="1" customWidth="1"/>
    <col min="3" max="4" width="27.703125" bestFit="1" customWidth="1"/>
    <col min="5" max="5" width="24" bestFit="1" customWidth="1"/>
    <col min="6" max="6" width="15.1171875" bestFit="1" customWidth="1"/>
    <col min="7" max="7" width="12.87890625" bestFit="1" customWidth="1"/>
    <col min="8" max="8" width="15.1171875" bestFit="1" customWidth="1"/>
    <col min="9" max="10" width="18.1171875" bestFit="1" customWidth="1"/>
    <col min="11" max="11" width="13.1171875" bestFit="1" customWidth="1"/>
  </cols>
  <sheetData>
    <row r="2" spans="2:2" x14ac:dyDescent="0.5">
      <c r="B2" s="1"/>
    </row>
    <row r="4" spans="2:2" x14ac:dyDescent="0.5">
      <c r="B4" s="1"/>
    </row>
    <row r="8" spans="2:2" ht="17.350000000000001" x14ac:dyDescent="0.5">
      <c r="B8" s="4"/>
    </row>
    <row r="11" spans="2:2" ht="17.350000000000001" x14ac:dyDescent="0.5">
      <c r="B11" s="4"/>
    </row>
    <row r="12" spans="2:2" ht="17.350000000000001" x14ac:dyDescent="0.5">
      <c r="B12" s="4"/>
    </row>
    <row r="13" spans="2:2" ht="17.350000000000001" x14ac:dyDescent="0.5">
      <c r="B13" s="4"/>
    </row>
    <row r="14" spans="2:2" ht="17.350000000000001" x14ac:dyDescent="0.5">
      <c r="B14" s="4"/>
    </row>
    <row r="15" spans="2:2" ht="17.350000000000001" x14ac:dyDescent="0.5">
      <c r="B15" s="4"/>
    </row>
    <row r="16" spans="2:2" ht="17.350000000000001" x14ac:dyDescent="0.5">
      <c r="B16" s="4"/>
    </row>
    <row r="17" spans="2:10" ht="17.350000000000001" x14ac:dyDescent="0.5">
      <c r="B17" s="4"/>
    </row>
    <row r="18" spans="2:10" ht="17.350000000000001" x14ac:dyDescent="0.5">
      <c r="B18" s="4"/>
      <c r="C18" s="4"/>
      <c r="D18" s="4"/>
      <c r="E18" s="4"/>
      <c r="F18" s="4"/>
      <c r="G18" s="4"/>
      <c r="H18" s="4"/>
      <c r="I18" s="4"/>
      <c r="J18" s="4"/>
    </row>
    <row r="19" spans="2:10" ht="17.350000000000001" x14ac:dyDescent="0.5">
      <c r="B19" s="4"/>
      <c r="C19" s="4"/>
      <c r="D19" s="4"/>
    </row>
    <row r="20" spans="2:10" ht="17.350000000000001" x14ac:dyDescent="0.5">
      <c r="B20" s="4"/>
      <c r="C20" s="4"/>
      <c r="D20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62be21-5237-443d-af76-891d6964fe56">
      <Terms xmlns="http://schemas.microsoft.com/office/infopath/2007/PartnerControls"/>
    </lcf76f155ced4ddcb4097134ff3c332f>
    <TaxCatchAll xmlns="9daa7d42-1a00-4a5c-b7c7-cc57f7bdc80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F844CA6E5E0841A5C199318B485297" ma:contentTypeVersion="13" ma:contentTypeDescription="Create a new document." ma:contentTypeScope="" ma:versionID="71c3085bb996e70712928e70784a7dc9">
  <xsd:schema xmlns:xsd="http://www.w3.org/2001/XMLSchema" xmlns:xs="http://www.w3.org/2001/XMLSchema" xmlns:p="http://schemas.microsoft.com/office/2006/metadata/properties" xmlns:ns2="bf62be21-5237-443d-af76-891d6964fe56" xmlns:ns3="9daa7d42-1a00-4a5c-b7c7-cc57f7bdc805" targetNamespace="http://schemas.microsoft.com/office/2006/metadata/properties" ma:root="true" ma:fieldsID="f91642ace18bedf481176c47adb1eed1" ns2:_="" ns3:_="">
    <xsd:import namespace="bf62be21-5237-443d-af76-891d6964fe56"/>
    <xsd:import namespace="9daa7d42-1a00-4a5c-b7c7-cc57f7bdc8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62be21-5237-443d-af76-891d6964fe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65e7fe2-6364-425d-8d90-224ffeef44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aa7d42-1a00-4a5c-b7c7-cc57f7bdc80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37bc2e5-f0e5-4a3d-9669-dc61641f4685}" ma:internalName="TaxCatchAll" ma:showField="CatchAllData" ma:web="9daa7d42-1a00-4a5c-b7c7-cc57f7bdc8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374CAA-13D4-4469-BFB5-BEE7F18B35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233EDC-AAB7-4704-88BD-3927BF62CAF0}">
  <ds:schemaRefs>
    <ds:schemaRef ds:uri="http://schemas.microsoft.com/office/2006/metadata/properties"/>
    <ds:schemaRef ds:uri="http://schemas.microsoft.com/office/infopath/2007/PartnerControls"/>
    <ds:schemaRef ds:uri="bf62be21-5237-443d-af76-891d6964fe56"/>
    <ds:schemaRef ds:uri="9daa7d42-1a00-4a5c-b7c7-cc57f7bdc805"/>
  </ds:schemaRefs>
</ds:datastoreItem>
</file>

<file path=customXml/itemProps3.xml><?xml version="1.0" encoding="utf-8"?>
<ds:datastoreItem xmlns:ds="http://schemas.openxmlformats.org/officeDocument/2006/customXml" ds:itemID="{19300832-EAB0-4A87-8602-7ACBB0C76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62be21-5237-443d-af76-891d6964fe56"/>
    <ds:schemaRef ds:uri="9daa7d42-1a00-4a5c-b7c7-cc57f7bdc8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Footbath Protocol</vt:lpstr>
      <vt:lpstr>Copper Side By Side</vt:lpstr>
    </vt:vector>
  </TitlesOfParts>
  <Company>Sirius Nutrition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L. Evon</dc:creator>
  <cp:lastModifiedBy>Lorenzo Trujillo</cp:lastModifiedBy>
  <cp:lastPrinted>2015-04-14T20:57:32Z</cp:lastPrinted>
  <dcterms:created xsi:type="dcterms:W3CDTF">2012-06-21T16:19:11Z</dcterms:created>
  <dcterms:modified xsi:type="dcterms:W3CDTF">2025-07-22T18:37:57Z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0x010100C1F844CA6E5E0841A5C199318B485297</vt:lpwstr>
  </property>
  <property fmtid="{D5CDD505-2E9C-101B-9397-08002B2CF9AE}" pid="3" name="MediaServiceImageTags">
    <vt:lpwstr/>
  </property>
</Properties>
</file>